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9720" windowHeight="5580" activeTab="1"/>
  </bookViews>
  <sheets>
    <sheet name="Титульный лист" sheetId="1" r:id="rId1"/>
    <sheet name="2015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'2015'!$A:$A,'2015'!$5:$7</definedName>
    <definedName name="_xlnm.Print_Area" localSheetId="1">'2015'!$A$1:$AF$89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D38" authorId="0">
      <text>
        <r>
          <rPr>
            <b/>
            <sz val="9"/>
            <rFont val="Tahoma"/>
            <family val="2"/>
          </rPr>
          <t>Мартынова Снежана Владимировна:цифра равна отчету МБТ (освоение)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<sst xmlns="http://schemas.openxmlformats.org/spreadsheetml/2006/main" count="556" uniqueCount="184">
  <si>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</si>
  <si>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</si>
  <si>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</si>
  <si>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</si>
  <si>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</si>
  <si>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</si>
  <si>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</si>
  <si>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</si>
  <si>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</si>
  <si>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</si>
  <si>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</si>
  <si>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</si>
  <si>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</si>
  <si>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</si>
  <si>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</si>
  <si>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</si>
  <si>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</si>
  <si>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</si>
  <si>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</si>
  <si>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</si>
  <si>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</si>
  <si>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</si>
  <si>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</si>
  <si>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</si>
  <si>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</si>
  <si>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</si>
  <si>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</si>
  <si>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</si>
  <si>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</si>
  <si>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</si>
  <si>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</si>
  <si>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</si>
  <si>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</si>
  <si>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</si>
  <si>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</si>
  <si>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</si>
  <si>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</si>
  <si>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</si>
  <si>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</si>
  <si>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</si>
  <si>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</si>
  <si>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</si>
  <si>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</si>
  <si>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</si>
  <si>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</si>
  <si>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</si>
  <si>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</si>
  <si>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</si>
  <si>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</si>
  <si>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</si>
  <si>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</si>
  <si>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</si>
  <si>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</si>
  <si>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</si>
  <si>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</si>
  <si>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</si>
  <si>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</si>
  <si>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</si>
  <si>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</si>
  <si>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</si>
  <si>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</si>
  <si>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</si>
  <si>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</si>
  <si>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</si>
  <si>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</si>
  <si>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</si>
  <si>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</si>
  <si>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</si>
  <si>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</si>
  <si>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</si>
  <si>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</si>
  <si>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</si>
  <si>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</si>
  <si>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</si>
  <si>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</si>
  <si>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</si>
  <si>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</si>
  <si>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</si>
  <si>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</si>
  <si>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</si>
  <si>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</si>
  <si>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</si>
  <si>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</si>
  <si>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</si>
  <si>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</si>
  <si>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</si>
  <si>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</si>
  <si>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</si>
  <si>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</si>
  <si>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</si>
  <si>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</si>
  <si>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</si>
  <si>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</si>
  <si>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</si>
  <si>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</si>
  <si>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</si>
  <si>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</si>
  <si>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</si>
  <si>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</si>
  <si>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</si>
  <si>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</si>
  <si>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</si>
  <si>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</si>
  <si>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</si>
  <si>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</si>
  <si>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</si>
  <si>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</si>
  <si>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</si>
  <si>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</si>
  <si>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</si>
  <si>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</si>
  <si>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</si>
  <si>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</si>
  <si>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</si>
  <si>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</si>
  <si>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</si>
  <si>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</si>
  <si>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</si>
  <si>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</si>
  <si>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</si>
  <si>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</si>
  <si>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</si>
  <si>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</si>
  <si>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</si>
  <si>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</si>
  <si>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</si>
  <si>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</si>
  <si>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</si>
  <si>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</si>
  <si>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</si>
  <si>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</si>
  <si>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</si>
  <si>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</si>
  <si>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</si>
  <si>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</si>
  <si>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</si>
  <si>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</si>
  <si>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</si>
  <si>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</si>
  <si>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</si>
  <si>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</si>
  <si>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</si>
  <si>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</si>
  <si>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</si>
  <si>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</si>
  <si>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</si>
  <si>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</si>
  <si>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</si>
  <si>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</si>
  <si>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</si>
  <si>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</si>
  <si>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</si>
  <si>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</si>
  <si>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</si>
  <si>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</si>
  <si>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</si>
  <si>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</si>
  <si>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</si>
  <si>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</si>
  <si>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</si>
  <si>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</si>
  <si>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</si>
  <si>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</si>
  <si>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</si>
  <si>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</si>
  <si>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</si>
  <si>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</si>
  <si>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</si>
  <si>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</si>
  <si>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 xml:space="preserve">В апреле 2015 года проведен запрос котировок, заключен контракт. Товар поставлен и оплачен.  </t>
  </si>
  <si>
    <t>Начальник управления экономики Администрации города Когалыма</t>
  </si>
  <si>
    <t>Е.Г.Загорская</t>
  </si>
  <si>
    <t>Мартынова Снежана Владимировна , тел. 93-785</t>
  </si>
  <si>
    <t xml:space="preserve">по состоянию на 01.08.2015 </t>
  </si>
  <si>
    <t>Оплата за поставленный товар на приобретение медикаментов, перевязочных материалов, жилетов сигнальных, бейсболок, плащей, журналов прошла в июне, июле 2015 года. Закуплены трудовые книжки. Остаток денежных средств согласно сетевого графика будет освоен в августе, октябре 2015г.</t>
  </si>
  <si>
    <t>В июне м-це проведен смотр-кокурс, участникам вручены грамоты и подарки.</t>
  </si>
  <si>
    <t xml:space="preserve">На 01.08.2015 года не освоение денежных средств составляет 286,59 тыс.рублей в связи стем, что фактическая сумма выставленная поставщиками по услугам меньше планов (по услугам связи, расходов на содержание имущества). </t>
  </si>
  <si>
    <t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Принято 688 заявлений от несовершеннолетних граждан и их законных представителей. Заключено 400 срочных трудовых договоров с несовершеннолетними. На 01.08.2015 года не освоены средства в размере 98,92 тыс.руб. в связи доосрочным расторжением трудовых договоров несовершеннолетними гражданами. Денежные средства будут освоены в августе 2015 года.</t>
  </si>
  <si>
    <t>Поступило 10 заявок от учреждений и организаций города о потребности в рабочей силе, заключены договора о сотрудничестве. С несовершеннолетними гражданами и их законными представителями заключено 34 срочных трудовых договора по специальности "Оператор ЭВМ".  По состоянию на 01.08.2015 года не освоены средства в размере 72,71 тыс.руб. в связи неполным отработанным рабочим временем несовершеннолетними гражданами. Денежные средства будут освоены в сентябре, октябре  2015 года  за счет увеличения количества временных рабочих мест.</t>
  </si>
  <si>
    <t>Принято 9 заявлений от несовершеннолетних граждан из числа желающих трудоустроиться. С 3 учреждениями заключены договора о сотрудничестве. Заключено 9 срочных трудовых договора с несовершеннолетними. На 01.08.2015 года не освоены средства в размере 265,92 тыс.руб. в связи отсутствием несовершеннолетних граждане данной категории,  обратившихся в ЦЗН.  Денежные средства будут освоены в августе  2015 года.</t>
  </si>
  <si>
    <t>Заключено 63 договора с внештатными сотрудниками.  На 01.08.2015 не освоены 346,72 тыс.руб. Денежные средства будут освоены после подписания актов выполненных работ в августе  2015 года.</t>
  </si>
  <si>
    <t>С начала года оказано 773 консультаций несовершеннолетним гражданам.</t>
  </si>
  <si>
    <t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193 человека. На 01.08.2015 года не освоено 6,94 тыс. рублей в связи с досрочным расторжением договоров по инициативе работников, освоение  средств планируется в августе 2015 года после подписания актов выполненных работ.</t>
  </si>
  <si>
    <t>Заключено 3 договора на оснащение рабочих мест для инвалидов. Оснащены 3 рабочих места.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</si>
</sst>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5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center" vertical="center" wrapText="1"/>
    </xf>
    <xf numFmtId="174" fontId="75" fillId="0" borderId="0" xfId="0" applyNumberFormat="1" applyFont="1" applyFill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73" fontId="76" fillId="0" borderId="0" xfId="0" applyNumberFormat="1" applyFont="1" applyFill="1" applyBorder="1" applyAlignment="1">
      <alignment vertical="center" wrapText="1"/>
    </xf>
    <xf numFmtId="188" fontId="76" fillId="0" borderId="0" xfId="0" applyNumberFormat="1" applyFont="1" applyFill="1" applyBorder="1" applyAlignment="1">
      <alignment vertical="center" wrapText="1"/>
    </xf>
    <xf numFmtId="173" fontId="76" fillId="31" borderId="0" xfId="0" applyNumberFormat="1" applyFont="1" applyFill="1" applyBorder="1" applyAlignment="1">
      <alignment vertical="center" wrapText="1"/>
    </xf>
    <xf numFmtId="188" fontId="76" fillId="31" borderId="0" xfId="0" applyNumberFormat="1" applyFont="1" applyFill="1" applyBorder="1" applyAlignment="1">
      <alignment vertical="center" wrapText="1"/>
    </xf>
    <xf numFmtId="173" fontId="75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6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174" fontId="78" fillId="0" borderId="0" xfId="0" applyNumberFormat="1" applyFont="1" applyFill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188" fontId="79" fillId="0" borderId="0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173" fontId="78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9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9">
      <selection activeCell="M15" sqref="M15"/>
    </sheetView>
  </sheetViews>
  <sheetFormatPr defaultColWidth="9.140625" defaultRowHeight="12.75"/>
  <cols>
    <col min="1" max="16384" width="9.140625" style="25" customWidth="1"/>
  </cols>
  <sheetData>
    <row r="1" spans="1:2" ht="18.75">
      <c r="A1" s="166"/>
      <c r="B1" s="166"/>
    </row>
    <row r="10" spans="1:9" ht="23.25">
      <c r="A10" s="167" t="s">
        <v>34</v>
      </c>
      <c r="B10" s="167"/>
      <c r="C10" s="167"/>
      <c r="D10" s="167"/>
      <c r="E10" s="167"/>
      <c r="F10" s="167"/>
      <c r="G10" s="167"/>
      <c r="H10" s="167"/>
      <c r="I10" s="167"/>
    </row>
    <row r="11" spans="1:9" ht="23.25">
      <c r="A11" s="167" t="s">
        <v>28</v>
      </c>
      <c r="B11" s="167"/>
      <c r="C11" s="167"/>
      <c r="D11" s="167"/>
      <c r="E11" s="167"/>
      <c r="F11" s="167"/>
      <c r="G11" s="167"/>
      <c r="H11" s="167"/>
      <c r="I11" s="167"/>
    </row>
    <row r="13" spans="1:9" ht="27" customHeight="1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9" ht="27" customHeight="1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</row>
    <row r="15" spans="1:9" ht="51.75" customHeight="1">
      <c r="A15" s="169" t="s">
        <v>166</v>
      </c>
      <c r="B15" s="169"/>
      <c r="C15" s="169"/>
      <c r="D15" s="169"/>
      <c r="E15" s="169"/>
      <c r="F15" s="169"/>
      <c r="G15" s="169"/>
      <c r="H15" s="169"/>
      <c r="I15" s="169"/>
    </row>
    <row r="17" spans="1:9" ht="19.5">
      <c r="A17" s="168" t="s">
        <v>165</v>
      </c>
      <c r="B17" s="168"/>
      <c r="C17" s="168"/>
      <c r="D17" s="168"/>
      <c r="E17" s="168"/>
      <c r="F17" s="168"/>
      <c r="G17" s="168"/>
      <c r="H17" s="168"/>
      <c r="I17" s="168"/>
    </row>
    <row r="19" spans="1:9" ht="12.75">
      <c r="A19" s="164" t="s">
        <v>173</v>
      </c>
      <c r="B19" s="164"/>
      <c r="C19" s="164"/>
      <c r="D19" s="164"/>
      <c r="E19" s="164"/>
      <c r="F19" s="164"/>
      <c r="G19" s="164"/>
      <c r="H19" s="164"/>
      <c r="I19" s="164"/>
    </row>
    <row r="46" spans="1:9" ht="16.5">
      <c r="A46" s="165" t="s">
        <v>31</v>
      </c>
      <c r="B46" s="165"/>
      <c r="C46" s="165"/>
      <c r="D46" s="165"/>
      <c r="E46" s="165"/>
      <c r="F46" s="165"/>
      <c r="G46" s="165"/>
      <c r="H46" s="165"/>
      <c r="I46" s="165"/>
    </row>
    <row r="47" spans="1:9" ht="16.5">
      <c r="A47" s="165" t="s">
        <v>49</v>
      </c>
      <c r="B47" s="165"/>
      <c r="C47" s="165"/>
      <c r="D47" s="165"/>
      <c r="E47" s="165"/>
      <c r="F47" s="165"/>
      <c r="G47" s="165"/>
      <c r="H47" s="165"/>
      <c r="I47" s="16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75" zoomScaleNormal="70" zoomScaleSheetLayoutView="75" zoomScalePageLayoutView="0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78" sqref="AF78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9"/>
      <c r="P2" s="179"/>
      <c r="Q2" s="179"/>
      <c r="R2" s="179"/>
      <c r="S2" s="179"/>
    </row>
    <row r="3" spans="1:32" ht="26.25" customHeight="1">
      <c r="A3" s="23"/>
      <c r="O3" s="180"/>
      <c r="P3" s="180"/>
      <c r="Q3" s="180"/>
      <c r="R3" s="180"/>
      <c r="S3" s="180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8" t="s">
        <v>5</v>
      </c>
      <c r="B5" s="181" t="s">
        <v>167</v>
      </c>
      <c r="C5" s="181" t="s">
        <v>19</v>
      </c>
      <c r="D5" s="181" t="s">
        <v>150</v>
      </c>
      <c r="E5" s="181" t="s">
        <v>20</v>
      </c>
      <c r="F5" s="177" t="s">
        <v>15</v>
      </c>
      <c r="G5" s="177"/>
      <c r="H5" s="177" t="s">
        <v>0</v>
      </c>
      <c r="I5" s="177"/>
      <c r="J5" s="177" t="s">
        <v>1</v>
      </c>
      <c r="K5" s="177"/>
      <c r="L5" s="177" t="s">
        <v>2</v>
      </c>
      <c r="M5" s="177"/>
      <c r="N5" s="177" t="s">
        <v>3</v>
      </c>
      <c r="O5" s="177"/>
      <c r="P5" s="177" t="s">
        <v>4</v>
      </c>
      <c r="Q5" s="177"/>
      <c r="R5" s="177" t="s">
        <v>6</v>
      </c>
      <c r="S5" s="177"/>
      <c r="T5" s="108" t="s">
        <v>7</v>
      </c>
      <c r="U5" s="108" t="s">
        <v>7</v>
      </c>
      <c r="V5" s="177" t="s">
        <v>8</v>
      </c>
      <c r="W5" s="177"/>
      <c r="X5" s="177" t="s">
        <v>9</v>
      </c>
      <c r="Y5" s="177"/>
      <c r="Z5" s="177" t="s">
        <v>10</v>
      </c>
      <c r="AA5" s="177"/>
      <c r="AB5" s="177" t="s">
        <v>11</v>
      </c>
      <c r="AC5" s="177"/>
      <c r="AD5" s="177" t="s">
        <v>12</v>
      </c>
      <c r="AE5" s="177"/>
      <c r="AF5" s="178" t="s">
        <v>21</v>
      </c>
      <c r="AH5" s="95"/>
    </row>
    <row r="6" spans="1:34" s="13" customFormat="1" ht="72.75" customHeight="1">
      <c r="A6" s="178"/>
      <c r="B6" s="182"/>
      <c r="C6" s="182"/>
      <c r="D6" s="183"/>
      <c r="E6" s="182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8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168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3" t="s">
        <v>177</v>
      </c>
      <c r="AH13" s="98"/>
    </row>
    <row r="14" spans="1:34" s="18" customFormat="1" ht="18.75">
      <c r="A14" s="117" t="s">
        <v>32</v>
      </c>
      <c r="B14" s="127">
        <f>B15+B16</f>
        <v>5520.2</v>
      </c>
      <c r="C14" s="127">
        <f>C15+C16</f>
        <v>3680.19351</v>
      </c>
      <c r="D14" s="127">
        <f>D15+D16</f>
        <v>3643.12547</v>
      </c>
      <c r="E14" s="127">
        <f>E15+E16</f>
        <v>3581.27</v>
      </c>
      <c r="F14" s="136">
        <f>E14/B14</f>
        <v>0.6487572914024854</v>
      </c>
      <c r="G14" s="136">
        <f>E14/C14</f>
        <v>0.9731200248760832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1795.3</v>
      </c>
      <c r="T14" s="128">
        <f t="shared" si="0"/>
        <v>1840.04649</v>
      </c>
      <c r="U14" s="128">
        <f t="shared" si="0"/>
        <v>1785.97</v>
      </c>
      <c r="V14" s="128">
        <f t="shared" si="0"/>
        <v>1840.0064899999998</v>
      </c>
      <c r="W14" s="128">
        <f t="shared" si="0"/>
        <v>0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4"/>
      <c r="AH14" s="98"/>
    </row>
    <row r="15" spans="1:34" s="152" customFormat="1" ht="18.75">
      <c r="A15" s="148" t="s">
        <v>24</v>
      </c>
      <c r="B15" s="149">
        <f>H15+J15+L15+N15+P15+R15+T15+V15+X15+Z15+AB15+AD15</f>
        <v>840</v>
      </c>
      <c r="C15" s="150">
        <f>R15+T15</f>
        <v>309.735</v>
      </c>
      <c r="D15" s="150">
        <f>272666.96/1000</f>
        <v>272.66696</v>
      </c>
      <c r="E15" s="150">
        <f>I15+K15+M15+O15+Q15+S15+U15+W15+Y15+AA15+AC15+AE15</f>
        <v>236.02</v>
      </c>
      <c r="F15" s="151">
        <f>E15/B15</f>
        <v>0.2809761904761905</v>
      </c>
      <c r="G15" s="151">
        <f>E15/C15</f>
        <v>0.7620062311330653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236.02</v>
      </c>
      <c r="T15" s="150">
        <f>47075/1000</f>
        <v>47.075</v>
      </c>
      <c r="U15" s="150">
        <v>0</v>
      </c>
      <c r="V15" s="150">
        <f>530265/1000</f>
        <v>530.265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4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4680.2</v>
      </c>
      <c r="C16" s="150">
        <f>R16+T16</f>
        <v>3370.45851</v>
      </c>
      <c r="D16" s="150">
        <f>3370458.51/1000</f>
        <v>3370.45851</v>
      </c>
      <c r="E16" s="150">
        <f>I16+K16+M16+O16+Q16+S16+U16+W16+Y16+AA16+AC16+AE16</f>
        <v>3345.25</v>
      </c>
      <c r="F16" s="151">
        <f>E16/B16</f>
        <v>0.7147664629716679</v>
      </c>
      <c r="G16" s="151">
        <f>E16/C16</f>
        <v>0.9925207475703358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>
        <v>1559.28</v>
      </c>
      <c r="T16" s="150">
        <f>1792971.49/1000</f>
        <v>1792.97149</v>
      </c>
      <c r="U16" s="150">
        <v>1785.97</v>
      </c>
      <c r="V16" s="150">
        <f>1309741.49/1000</f>
        <v>1309.7414899999999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5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3" t="s">
        <v>178</v>
      </c>
      <c r="AH17" s="98"/>
    </row>
    <row r="18" spans="1:34" s="18" customFormat="1" ht="18.75" customHeight="1">
      <c r="A18" s="117" t="s">
        <v>32</v>
      </c>
      <c r="B18" s="127">
        <f>B20+B19</f>
        <v>644</v>
      </c>
      <c r="C18" s="127">
        <f>C20+C19</f>
        <v>367.99300999999997</v>
      </c>
      <c r="D18" s="127">
        <f>D20+D19</f>
        <v>354.59301000000005</v>
      </c>
      <c r="E18" s="127">
        <f>E20+E19</f>
        <v>295.28</v>
      </c>
      <c r="F18" s="136">
        <f>E18/B18</f>
        <v>0.4585093167701863</v>
      </c>
      <c r="G18" s="136">
        <f aca="true" t="shared" si="1" ref="G18:G24">E18/C18</f>
        <v>0.8024065457112894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98.22999999999999</v>
      </c>
      <c r="P18" s="127">
        <f t="shared" si="2"/>
        <v>100.02203</v>
      </c>
      <c r="Q18" s="127">
        <f t="shared" si="2"/>
        <v>110.86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0</v>
      </c>
      <c r="Z18" s="127">
        <f t="shared" si="2"/>
        <v>92.00233</v>
      </c>
      <c r="AA18" s="127">
        <f t="shared" si="2"/>
        <v>0</v>
      </c>
      <c r="AB18" s="127">
        <f t="shared" si="2"/>
        <v>92.00233</v>
      </c>
      <c r="AC18" s="127">
        <f t="shared" si="2"/>
        <v>0</v>
      </c>
      <c r="AD18" s="127">
        <f t="shared" si="2"/>
        <v>0</v>
      </c>
      <c r="AE18" s="127">
        <f t="shared" si="2"/>
        <v>0</v>
      </c>
      <c r="AF18" s="174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98</v>
      </c>
      <c r="C19" s="150">
        <f>H19+J19+L19+N19+P19+R19+T19</f>
        <v>56</v>
      </c>
      <c r="D19" s="150">
        <v>42.6</v>
      </c>
      <c r="E19" s="150">
        <f>I19+K19+M19+O19+Q19+S19+U19+W19+Y19+AA19+AC19+AE19</f>
        <v>20.39</v>
      </c>
      <c r="F19" s="151">
        <f>E19/B19</f>
        <v>0.20806122448979592</v>
      </c>
      <c r="G19" s="151">
        <f>E19/C19</f>
        <v>0.36410714285714285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15.18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14000/1000</f>
        <v>14</v>
      </c>
      <c r="AC19" s="150">
        <v>0</v>
      </c>
      <c r="AD19" s="150">
        <v>0</v>
      </c>
      <c r="AE19" s="150">
        <v>0</v>
      </c>
      <c r="AF19" s="174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H20+J20+L20+N20+P20+R20+T20</f>
        <v>311.99300999999997</v>
      </c>
      <c r="D20" s="150">
        <f>311993.01/1000</f>
        <v>311.99301</v>
      </c>
      <c r="E20" s="150">
        <f>I20+K20+M20+O20+Q20+S20+U20+W20+Y20+AA20+AC20+AE20</f>
        <v>274.89</v>
      </c>
      <c r="F20" s="151">
        <f>E20/B20</f>
        <v>0.5034615384615384</v>
      </c>
      <c r="G20" s="151">
        <f t="shared" si="1"/>
        <v>0.8810774318309247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83.05</v>
      </c>
      <c r="P20" s="150">
        <f>82211.36/1000</f>
        <v>82.21136</v>
      </c>
      <c r="Q20" s="150">
        <v>110.86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0</v>
      </c>
      <c r="Z20" s="150">
        <f>78002.33/1000</f>
        <v>78.00233</v>
      </c>
      <c r="AA20" s="150">
        <v>0</v>
      </c>
      <c r="AB20" s="150">
        <f>78002.33/1000</f>
        <v>78.00233</v>
      </c>
      <c r="AC20" s="150">
        <v>0</v>
      </c>
      <c r="AD20" s="150">
        <v>0</v>
      </c>
      <c r="AE20" s="150">
        <v>0</v>
      </c>
      <c r="AF20" s="175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70" t="s">
        <v>179</v>
      </c>
      <c r="AH21" s="98"/>
    </row>
    <row r="22" spans="1:34" s="18" customFormat="1" ht="20.25">
      <c r="A22" s="117" t="s">
        <v>32</v>
      </c>
      <c r="B22" s="127">
        <f>B23+B24</f>
        <v>788.5999999999999</v>
      </c>
      <c r="C22" s="127">
        <f>C23+C24</f>
        <v>473.06343</v>
      </c>
      <c r="D22" s="127">
        <f>D23+D24</f>
        <v>385.20023</v>
      </c>
      <c r="E22" s="127">
        <f>E23+E24</f>
        <v>207.14000000000001</v>
      </c>
      <c r="F22" s="136">
        <f>E22/B22</f>
        <v>0.262668019274664</v>
      </c>
      <c r="G22" s="136">
        <f t="shared" si="1"/>
        <v>0.43786939945875764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74.18</v>
      </c>
      <c r="P22" s="128">
        <f t="shared" si="3"/>
        <v>89.42568</v>
      </c>
      <c r="Q22" s="128">
        <f t="shared" si="3"/>
        <v>23.75</v>
      </c>
      <c r="R22" s="128">
        <f t="shared" si="3"/>
        <v>68.34458</v>
      </c>
      <c r="S22" s="128">
        <f t="shared" si="3"/>
        <v>38</v>
      </c>
      <c r="T22" s="128">
        <f t="shared" si="3"/>
        <v>89.37369</v>
      </c>
      <c r="U22" s="128">
        <f t="shared" si="3"/>
        <v>15.39</v>
      </c>
      <c r="V22" s="128">
        <f t="shared" si="3"/>
        <v>68.34459</v>
      </c>
      <c r="W22" s="128">
        <f t="shared" si="3"/>
        <v>0</v>
      </c>
      <c r="X22" s="128">
        <f t="shared" si="3"/>
        <v>89.37369</v>
      </c>
      <c r="Y22" s="128">
        <f t="shared" si="3"/>
        <v>0</v>
      </c>
      <c r="Z22" s="128">
        <f t="shared" si="3"/>
        <v>70.38833</v>
      </c>
      <c r="AA22" s="128">
        <f t="shared" si="3"/>
        <v>0</v>
      </c>
      <c r="AB22" s="128">
        <f t="shared" si="3"/>
        <v>87.42996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71"/>
      <c r="AG22" s="92"/>
      <c r="AH22" s="99">
        <f>AH23+AH24</f>
        <v>788.5999999999999</v>
      </c>
    </row>
    <row r="23" spans="1:34" s="152" customFormat="1" ht="20.25" customHeight="1">
      <c r="A23" s="148" t="s">
        <v>24</v>
      </c>
      <c r="B23" s="149">
        <f>H23+J23+L23+N23+P23+R23+T23+V23+X23+Z23+AB23+AD23</f>
        <v>477.29999999999995</v>
      </c>
      <c r="C23" s="150">
        <f>H23+J23+L23+N23+P23+R23+T23</f>
        <v>267.224</v>
      </c>
      <c r="D23" s="150">
        <f>179360.8/1000</f>
        <v>179.36079999999998</v>
      </c>
      <c r="E23" s="150">
        <f>I23+K23+M23+O23+Q23+S23+U23+W23+Y23+AA23+AC23+AE23</f>
        <v>133.24</v>
      </c>
      <c r="F23" s="151">
        <f>E23/B23</f>
        <v>0.279153572176828</v>
      </c>
      <c r="G23" s="151">
        <f>E23/C23</f>
        <v>0.4986079094692094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72.45</v>
      </c>
      <c r="P23" s="150">
        <f>44596/1000</f>
        <v>44.596</v>
      </c>
      <c r="Q23" s="150">
        <v>4.97</v>
      </c>
      <c r="R23" s="150">
        <f>44544/1000</f>
        <v>44.544</v>
      </c>
      <c r="S23" s="150">
        <v>0</v>
      </c>
      <c r="T23" s="150">
        <f>44544/1000</f>
        <v>44.544</v>
      </c>
      <c r="U23" s="150"/>
      <c r="V23" s="150">
        <f>44544/1000</f>
        <v>44.544</v>
      </c>
      <c r="W23" s="150">
        <v>0</v>
      </c>
      <c r="X23" s="150">
        <f>44544/1000</f>
        <v>44.544</v>
      </c>
      <c r="Y23" s="150">
        <v>0</v>
      </c>
      <c r="Z23" s="150">
        <f>46587.74/1000</f>
        <v>46.58774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71"/>
      <c r="AG23" s="155"/>
      <c r="AH23" s="156">
        <f>J23+L23+N23+P23+R23+T23+V23+X23+Z23+AB23+AD23+H23</f>
        <v>477.29999999999995</v>
      </c>
    </row>
    <row r="24" spans="1:34" s="152" customFormat="1" ht="20.25">
      <c r="A24" s="148" t="s">
        <v>25</v>
      </c>
      <c r="B24" s="149">
        <f>H24+J24+L24+N24+P24+R24+T24+V24+X24+Z24+AB24+AD24</f>
        <v>311.29999999999995</v>
      </c>
      <c r="C24" s="150">
        <f>H24+J24+L24+N24+P24+R24+T24</f>
        <v>205.83943</v>
      </c>
      <c r="D24" s="150">
        <f>205839.43/1000</f>
        <v>205.83943</v>
      </c>
      <c r="E24" s="150">
        <f>I24+K24+M24+O24+Q24+S24+U24+W24+Y24+AA24+AC24+AE24</f>
        <v>73.9</v>
      </c>
      <c r="F24" s="151">
        <f>E24/B24</f>
        <v>0.2373915836813364</v>
      </c>
      <c r="G24" s="151">
        <f t="shared" si="1"/>
        <v>0.35901770618000645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1.73</v>
      </c>
      <c r="P24" s="150">
        <f>44829.68/1000</f>
        <v>44.82968</v>
      </c>
      <c r="Q24" s="150">
        <v>18.78</v>
      </c>
      <c r="R24" s="150">
        <f>23800.58/1000</f>
        <v>23.80058</v>
      </c>
      <c r="S24" s="150">
        <v>38</v>
      </c>
      <c r="T24" s="150">
        <f>44829.69/1000</f>
        <v>44.82969</v>
      </c>
      <c r="U24" s="150">
        <v>15.39</v>
      </c>
      <c r="V24" s="150">
        <f>23800.59/1000</f>
        <v>23.80059</v>
      </c>
      <c r="W24" s="150">
        <v>0</v>
      </c>
      <c r="X24" s="150">
        <f>44829.69/1000</f>
        <v>44.82969</v>
      </c>
      <c r="Y24" s="150">
        <v>0</v>
      </c>
      <c r="Z24" s="150">
        <f>23800.59/1000</f>
        <v>23.80059</v>
      </c>
      <c r="AA24" s="150">
        <v>0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72"/>
      <c r="AG24" s="155"/>
      <c r="AH24" s="156">
        <f>J24+L24+N24+P24+R24+T24+V24+X24+Z24+AB24+AD24+H24</f>
        <v>311.3</v>
      </c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3" t="s">
        <v>174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565.0000000000001</v>
      </c>
      <c r="C26" s="127">
        <f t="shared" si="4"/>
        <v>549.524</v>
      </c>
      <c r="D26" s="127">
        <f t="shared" si="4"/>
        <v>549.524</v>
      </c>
      <c r="E26" s="127">
        <f t="shared" si="4"/>
        <v>400.69</v>
      </c>
      <c r="F26" s="136">
        <f>E26/B26</f>
        <v>0.7091858407079644</v>
      </c>
      <c r="G26" s="136">
        <f>E26/C26</f>
        <v>0.7291583261149649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21.75</v>
      </c>
      <c r="P26" s="128">
        <f t="shared" si="4"/>
        <v>444.4</v>
      </c>
      <c r="Q26" s="128">
        <f t="shared" si="4"/>
        <v>33.35</v>
      </c>
      <c r="R26" s="128">
        <f t="shared" si="4"/>
        <v>7.738</v>
      </c>
      <c r="S26" s="128">
        <f t="shared" si="4"/>
        <v>144.67</v>
      </c>
      <c r="T26" s="128">
        <f t="shared" si="4"/>
        <v>0</v>
      </c>
      <c r="U26" s="128">
        <f t="shared" si="4"/>
        <v>193.18</v>
      </c>
      <c r="V26" s="128">
        <f t="shared" si="4"/>
        <v>7.738</v>
      </c>
      <c r="W26" s="128">
        <f t="shared" si="4"/>
        <v>0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74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H27+J27+T27+L27+N27+P27+R27</f>
        <v>549.524</v>
      </c>
      <c r="D27" s="150">
        <f>549524/1000</f>
        <v>549.524</v>
      </c>
      <c r="E27" s="150">
        <f>I27+K27+M27+O27+Q27+S27+U27+W27+Y27+AA27+AC27+AE27</f>
        <v>400.69</v>
      </c>
      <c r="F27" s="151">
        <f>E27/B27</f>
        <v>0.7091858407079644</v>
      </c>
      <c r="G27" s="151">
        <f>E27/C27</f>
        <v>0.7291583261149649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21.75</v>
      </c>
      <c r="P27" s="150">
        <f>444400/1000</f>
        <v>444.4</v>
      </c>
      <c r="Q27" s="150">
        <v>33.35</v>
      </c>
      <c r="R27" s="150">
        <f>7738/1000</f>
        <v>7.738</v>
      </c>
      <c r="S27" s="150">
        <v>144.67</v>
      </c>
      <c r="T27" s="150">
        <v>0</v>
      </c>
      <c r="U27" s="150">
        <v>193.18</v>
      </c>
      <c r="V27" s="150">
        <f>7738/1000</f>
        <v>7.738</v>
      </c>
      <c r="W27" s="150">
        <v>0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75"/>
      <c r="AH27" s="153"/>
    </row>
    <row r="28" spans="1:34" s="18" customFormat="1" ht="51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180</v>
      </c>
      <c r="AH28" s="98"/>
    </row>
    <row r="29" spans="1:34" s="18" customFormat="1" ht="20.25">
      <c r="A29" s="117" t="s">
        <v>32</v>
      </c>
      <c r="B29" s="127">
        <f>B30</f>
        <v>1393.3000000000002</v>
      </c>
      <c r="C29" s="127">
        <f aca="true" t="shared" si="5" ref="C29:AE29">C30</f>
        <v>928.8766</v>
      </c>
      <c r="D29" s="127">
        <f t="shared" si="5"/>
        <v>928.8765999999999</v>
      </c>
      <c r="E29" s="127">
        <f t="shared" si="5"/>
        <v>582.1600000000001</v>
      </c>
      <c r="F29" s="136">
        <f>E29/B29</f>
        <v>0.41782817770760067</v>
      </c>
      <c r="G29" s="136">
        <f>E29/C29</f>
        <v>0.6267355642288761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155.74</v>
      </c>
      <c r="T29" s="127">
        <f t="shared" si="5"/>
        <v>464.4234</v>
      </c>
      <c r="U29" s="127">
        <f t="shared" si="5"/>
        <v>426.42</v>
      </c>
      <c r="V29" s="127">
        <f t="shared" si="5"/>
        <v>464.4234</v>
      </c>
      <c r="W29" s="127">
        <f t="shared" si="5"/>
        <v>0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R30+T30</f>
        <v>928.8766</v>
      </c>
      <c r="D30" s="150">
        <f>928876.6/1000</f>
        <v>928.8765999999999</v>
      </c>
      <c r="E30" s="150">
        <f>I30+K30+M30+O30+Q30+S30+U30+W30+Y30+AA30+AC30+AE30</f>
        <v>582.1600000000001</v>
      </c>
      <c r="F30" s="151">
        <f>E30/B30</f>
        <v>0.41782817770760067</v>
      </c>
      <c r="G30" s="151">
        <f>E30/C30</f>
        <v>0.6267355642288761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155.74</v>
      </c>
      <c r="T30" s="150">
        <f>464423.4/1000</f>
        <v>464.4234</v>
      </c>
      <c r="U30" s="150">
        <v>426.42</v>
      </c>
      <c r="V30" s="150">
        <f>464423.4/1000</f>
        <v>464.4234</v>
      </c>
      <c r="W30" s="150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76" t="s">
        <v>169</v>
      </c>
      <c r="AG30" s="155"/>
      <c r="AH30" s="156">
        <f>R30+T30+V30</f>
        <v>1393.3000000000002</v>
      </c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76"/>
      <c r="AH31" s="98"/>
    </row>
    <row r="32" spans="1:34" s="18" customFormat="1" ht="18.75">
      <c r="A32" s="117" t="s">
        <v>32</v>
      </c>
      <c r="B32" s="127">
        <f aca="true" t="shared" si="6" ref="B32:AE32">B33</f>
        <v>72.3</v>
      </c>
      <c r="C32" s="127">
        <f t="shared" si="6"/>
        <v>72.3</v>
      </c>
      <c r="D32" s="127">
        <f t="shared" si="6"/>
        <v>72.3</v>
      </c>
      <c r="E32" s="127">
        <f t="shared" si="6"/>
        <v>72.3</v>
      </c>
      <c r="F32" s="136">
        <f>E32/B32</f>
        <v>1</v>
      </c>
      <c r="G32" s="136">
        <f>E32/C32</f>
        <v>1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72.3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H33+J33+L33+N33+P33+R33+T33</f>
        <v>72.3</v>
      </c>
      <c r="D33" s="150">
        <f>72300/1000</f>
        <v>72.3</v>
      </c>
      <c r="E33" s="150">
        <f>I33+K33+M33+O33+Q33+S33+U33+W33+Y33+AA33+AC33+AE33</f>
        <v>72.3</v>
      </c>
      <c r="F33" s="151">
        <f>E33/B33</f>
        <v>1</v>
      </c>
      <c r="G33" s="151">
        <f>E33/C33</f>
        <v>1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72.3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76" t="s">
        <v>181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76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156</v>
      </c>
      <c r="B37" s="132">
        <f>B38+B39</f>
        <v>8983.4</v>
      </c>
      <c r="C37" s="132">
        <f>C38+C39</f>
        <v>6071.95055</v>
      </c>
      <c r="D37" s="132">
        <f aca="true" t="shared" si="8" ref="D37:AE37">D38+D39</f>
        <v>5933.61931</v>
      </c>
      <c r="E37" s="132">
        <f t="shared" si="8"/>
        <v>5138.84</v>
      </c>
      <c r="F37" s="139">
        <f>E37/B37</f>
        <v>0.5720373132666919</v>
      </c>
      <c r="G37" s="139">
        <f>E37/C37</f>
        <v>0.8463244154714008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194.16</v>
      </c>
      <c r="P37" s="132">
        <f t="shared" si="8"/>
        <v>633.8477099999999</v>
      </c>
      <c r="Q37" s="132">
        <f t="shared" si="8"/>
        <v>240.25999999999996</v>
      </c>
      <c r="R37" s="132">
        <f t="shared" si="8"/>
        <v>2380.6828000000005</v>
      </c>
      <c r="S37" s="132">
        <f t="shared" si="8"/>
        <v>2133.71</v>
      </c>
      <c r="T37" s="132">
        <f t="shared" si="8"/>
        <v>2393.84358</v>
      </c>
      <c r="U37" s="132">
        <f t="shared" si="8"/>
        <v>2420.96</v>
      </c>
      <c r="V37" s="132">
        <f t="shared" si="8"/>
        <v>2380.5124800000003</v>
      </c>
      <c r="W37" s="132">
        <f t="shared" si="8"/>
        <v>0</v>
      </c>
      <c r="X37" s="132">
        <f t="shared" si="8"/>
        <v>181.37601999999998</v>
      </c>
      <c r="Y37" s="132">
        <f t="shared" si="8"/>
        <v>0</v>
      </c>
      <c r="Z37" s="132">
        <f>Z38+Z39</f>
        <v>170.12866</v>
      </c>
      <c r="AA37" s="132">
        <f t="shared" si="8"/>
        <v>0</v>
      </c>
      <c r="AB37" s="132">
        <f t="shared" si="8"/>
        <v>179.43229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</v>
      </c>
      <c r="C38" s="133">
        <f>C15+C19+C23</f>
        <v>632.9590000000001</v>
      </c>
      <c r="D38" s="133">
        <f>D15+D19+D23</f>
        <v>494.62776</v>
      </c>
      <c r="E38" s="133">
        <f>E15+E19+E23</f>
        <v>389.65000000000003</v>
      </c>
      <c r="F38" s="140">
        <f>E38/B38</f>
        <v>0.2753126545608705</v>
      </c>
      <c r="G38" s="140">
        <f>E38/C38</f>
        <v>0.6156006945157585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87.63</v>
      </c>
      <c r="P38" s="133">
        <f t="shared" si="9"/>
        <v>62.40666999999999</v>
      </c>
      <c r="Q38" s="133">
        <f t="shared" si="9"/>
        <v>4.97</v>
      </c>
      <c r="R38" s="133">
        <f t="shared" si="9"/>
        <v>307.204</v>
      </c>
      <c r="S38" s="133">
        <f t="shared" si="9"/>
        <v>236.02</v>
      </c>
      <c r="T38" s="133">
        <f t="shared" si="9"/>
        <v>91.619</v>
      </c>
      <c r="U38" s="133">
        <f t="shared" si="9"/>
        <v>0</v>
      </c>
      <c r="V38" s="133">
        <f t="shared" si="9"/>
        <v>574.809</v>
      </c>
      <c r="W38" s="133">
        <f t="shared" si="9"/>
        <v>0</v>
      </c>
      <c r="X38" s="133">
        <f t="shared" si="9"/>
        <v>58.544</v>
      </c>
      <c r="Y38" s="133">
        <f t="shared" si="9"/>
        <v>0</v>
      </c>
      <c r="Z38" s="133">
        <f t="shared" si="9"/>
        <v>60.58774</v>
      </c>
      <c r="AA38" s="133">
        <f t="shared" si="9"/>
        <v>0</v>
      </c>
      <c r="AB38" s="133">
        <f t="shared" si="9"/>
        <v>88.40025999999999</v>
      </c>
      <c r="AC38" s="133">
        <f t="shared" si="9"/>
        <v>0</v>
      </c>
      <c r="AD38" s="133">
        <f t="shared" si="9"/>
        <v>0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7568.1</v>
      </c>
      <c r="C39" s="133">
        <f>C16+C20+C24+C27+C30+C33+C36</f>
        <v>5438.99155</v>
      </c>
      <c r="D39" s="133">
        <f>D16+D20+D24+D27+D30+D33+D36</f>
        <v>5438.99155</v>
      </c>
      <c r="E39" s="133">
        <f>E16+E20+E24+E27+E30+E33+E36</f>
        <v>4749.1900000000005</v>
      </c>
      <c r="F39" s="140">
        <f>E39/B39</f>
        <v>0.627527384680435</v>
      </c>
      <c r="G39" s="140">
        <f>E39/C39</f>
        <v>0.8731747340184782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106.53</v>
      </c>
      <c r="P39" s="133">
        <f t="shared" si="10"/>
        <v>571.4410399999999</v>
      </c>
      <c r="Q39" s="133">
        <f t="shared" si="10"/>
        <v>235.28999999999996</v>
      </c>
      <c r="R39" s="133">
        <f t="shared" si="10"/>
        <v>2073.4788000000003</v>
      </c>
      <c r="S39" s="133">
        <f t="shared" si="10"/>
        <v>1897.69</v>
      </c>
      <c r="T39" s="133">
        <f t="shared" si="10"/>
        <v>2302.22458</v>
      </c>
      <c r="U39" s="133">
        <f t="shared" si="10"/>
        <v>2420.96</v>
      </c>
      <c r="V39" s="133">
        <f t="shared" si="10"/>
        <v>1805.7034800000001</v>
      </c>
      <c r="W39" s="133">
        <f t="shared" si="10"/>
        <v>0</v>
      </c>
      <c r="X39" s="133">
        <f t="shared" si="10"/>
        <v>122.83202</v>
      </c>
      <c r="Y39" s="133">
        <f t="shared" si="10"/>
        <v>0</v>
      </c>
      <c r="Z39" s="133">
        <f t="shared" si="10"/>
        <v>109.54092</v>
      </c>
      <c r="AA39" s="133">
        <f t="shared" si="10"/>
        <v>0</v>
      </c>
      <c r="AB39" s="133">
        <f t="shared" si="10"/>
        <v>91.03203</v>
      </c>
      <c r="AC39" s="133">
        <f t="shared" si="10"/>
        <v>0</v>
      </c>
      <c r="AD39" s="133">
        <f t="shared" si="10"/>
        <v>0</v>
      </c>
      <c r="AE39" s="133">
        <f t="shared" si="10"/>
        <v>0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3" t="s">
        <v>182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4379</v>
      </c>
      <c r="D43" s="127">
        <f>C43</f>
        <v>4379</v>
      </c>
      <c r="E43" s="127">
        <f t="shared" si="11"/>
        <v>4372.06</v>
      </c>
      <c r="F43" s="136">
        <f>E43/B43</f>
        <v>0.5128937273441808</v>
      </c>
      <c r="G43" s="136">
        <f>E43/C43</f>
        <v>0.9984151632792876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800</v>
      </c>
      <c r="O43" s="128">
        <f t="shared" si="11"/>
        <v>855.01</v>
      </c>
      <c r="P43" s="128">
        <f t="shared" si="11"/>
        <v>870</v>
      </c>
      <c r="Q43" s="128">
        <f t="shared" si="11"/>
        <v>841.53</v>
      </c>
      <c r="R43" s="128">
        <f t="shared" si="11"/>
        <v>718.2</v>
      </c>
      <c r="S43" s="128">
        <f t="shared" si="11"/>
        <v>807.53</v>
      </c>
      <c r="T43" s="128">
        <f t="shared" si="11"/>
        <v>690.8</v>
      </c>
      <c r="U43" s="128">
        <f t="shared" si="11"/>
        <v>722.55</v>
      </c>
      <c r="V43" s="128">
        <f t="shared" si="11"/>
        <v>693</v>
      </c>
      <c r="W43" s="128">
        <f t="shared" si="11"/>
        <v>0</v>
      </c>
      <c r="X43" s="128">
        <f t="shared" si="11"/>
        <v>613</v>
      </c>
      <c r="Y43" s="128">
        <f t="shared" si="11"/>
        <v>0</v>
      </c>
      <c r="Z43" s="128">
        <f t="shared" si="11"/>
        <v>850</v>
      </c>
      <c r="AA43" s="128">
        <f t="shared" si="11"/>
        <v>0</v>
      </c>
      <c r="AB43" s="128">
        <f t="shared" si="11"/>
        <v>750</v>
      </c>
      <c r="AC43" s="128">
        <f t="shared" si="11"/>
        <v>0</v>
      </c>
      <c r="AD43" s="128">
        <f t="shared" si="11"/>
        <v>1239.3</v>
      </c>
      <c r="AE43" s="128">
        <f t="shared" si="11"/>
        <v>0</v>
      </c>
      <c r="AF43" s="174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H44+J44+L44+N44+P44+R44+T44</f>
        <v>4379</v>
      </c>
      <c r="D44" s="150">
        <f>C44</f>
        <v>4379</v>
      </c>
      <c r="E44" s="150">
        <f>I44+K44+M44+O44+Q44+S44+U44+W44+Y44+AA44+AC44+AE44</f>
        <v>4372.06</v>
      </c>
      <c r="F44" s="151">
        <f>E44/B44</f>
        <v>0.5128937273441808</v>
      </c>
      <c r="G44" s="151">
        <f>E44/C44</f>
        <v>0.9984151632792876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800</v>
      </c>
      <c r="O44" s="150">
        <v>855.01</v>
      </c>
      <c r="P44" s="150">
        <v>870</v>
      </c>
      <c r="Q44" s="150">
        <v>841.53</v>
      </c>
      <c r="R44" s="150">
        <v>718.2</v>
      </c>
      <c r="S44" s="150">
        <v>807.53</v>
      </c>
      <c r="T44" s="150">
        <v>690.8</v>
      </c>
      <c r="U44" s="150">
        <v>722.55</v>
      </c>
      <c r="V44" s="150">
        <v>693</v>
      </c>
      <c r="W44" s="150">
        <v>0</v>
      </c>
      <c r="X44" s="150">
        <v>613</v>
      </c>
      <c r="Y44" s="150">
        <v>0</v>
      </c>
      <c r="Z44" s="150">
        <v>850</v>
      </c>
      <c r="AA44" s="150">
        <v>0</v>
      </c>
      <c r="AB44" s="150">
        <v>750</v>
      </c>
      <c r="AC44" s="150">
        <v>0</v>
      </c>
      <c r="AD44" s="150">
        <v>1239.3</v>
      </c>
      <c r="AE44" s="150">
        <v>0</v>
      </c>
      <c r="AF44" s="175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154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152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 t="s">
        <v>183</v>
      </c>
      <c r="AH48" s="98"/>
    </row>
    <row r="49" spans="1:34" s="18" customFormat="1" ht="18.75">
      <c r="A49" s="117" t="s">
        <v>32</v>
      </c>
      <c r="B49" s="127">
        <f>B50</f>
        <v>218.07</v>
      </c>
      <c r="C49" s="127">
        <f>C50</f>
        <v>218.07</v>
      </c>
      <c r="D49" s="127">
        <f>D50</f>
        <v>218.07</v>
      </c>
      <c r="E49" s="127">
        <f aca="true" t="shared" si="12" ref="E49:AE49">E50</f>
        <v>218.07</v>
      </c>
      <c r="F49" s="136">
        <f>E49/B49</f>
        <v>1</v>
      </c>
      <c r="G49" s="136">
        <f>E49/C49</f>
        <v>1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218.07</v>
      </c>
      <c r="S49" s="127">
        <f t="shared" si="12"/>
        <v>0</v>
      </c>
      <c r="T49" s="127">
        <f t="shared" si="12"/>
        <v>0</v>
      </c>
      <c r="U49" s="127">
        <f t="shared" si="12"/>
        <v>218.07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155</v>
      </c>
      <c r="B50" s="149">
        <f>H50+J50+L50+N50+P50+R50+T50+V50+X50+Z50+AB50+AD50</f>
        <v>218.07</v>
      </c>
      <c r="C50" s="150">
        <f>R50</f>
        <v>218.07</v>
      </c>
      <c r="D50" s="150">
        <v>218.07</v>
      </c>
      <c r="E50" s="150">
        <f>I50+K50+M50+O50+Q50+S50+U50+W50+Y50+AA50+AC50+AE50</f>
        <v>218.07</v>
      </c>
      <c r="F50" s="151">
        <f>E50/B50</f>
        <v>1</v>
      </c>
      <c r="G50" s="151">
        <f>E50/C50</f>
        <v>1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218.07</v>
      </c>
      <c r="S50" s="150">
        <v>0</v>
      </c>
      <c r="T50" s="150">
        <v>0</v>
      </c>
      <c r="U50" s="150">
        <f>(72690+72690+72690)/1000</f>
        <v>218.07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153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151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157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158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159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160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 t="s">
        <v>175</v>
      </c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40</v>
      </c>
      <c r="D66" s="127">
        <f t="shared" si="16"/>
        <v>40</v>
      </c>
      <c r="E66" s="127">
        <f t="shared" si="16"/>
        <v>39.282650000000004</v>
      </c>
      <c r="F66" s="136">
        <f>E66/B66</f>
        <v>0.9820662500000001</v>
      </c>
      <c r="G66" s="136">
        <f>E66/C66</f>
        <v>0.9820662500000001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25.1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14.182649999999999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H67+J67+L67+N67+P67+R67+T67</f>
        <v>40</v>
      </c>
      <c r="D67" s="150">
        <f>C67</f>
        <v>40</v>
      </c>
      <c r="E67" s="150">
        <f>I67+K67+M67+O67+Q67+S67+U67+W67+Y67+AA67+AC67+AE67</f>
        <v>39.282650000000004</v>
      </c>
      <c r="F67" s="151">
        <f>E67/B67</f>
        <v>0.9820662500000001</v>
      </c>
      <c r="G67" s="151">
        <f>E67/C67</f>
        <v>0.9820662500000001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>
        <f>25100/1000</f>
        <v>25.1</v>
      </c>
      <c r="R67" s="150"/>
      <c r="S67" s="150"/>
      <c r="T67" s="150">
        <v>14.2</v>
      </c>
      <c r="U67" s="150">
        <f>14182.65/1000</f>
        <v>14.182649999999999</v>
      </c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05.25" customHeight="1">
      <c r="A68" s="109" t="s">
        <v>161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176</v>
      </c>
      <c r="AH68" s="98"/>
    </row>
    <row r="69" spans="1:34" s="18" customFormat="1" ht="18.75">
      <c r="A69" s="117" t="s">
        <v>32</v>
      </c>
      <c r="B69" s="127">
        <f>B70</f>
        <v>2930.4</v>
      </c>
      <c r="C69" s="127">
        <f>C70</f>
        <v>1952.1773699999999</v>
      </c>
      <c r="D69" s="127">
        <f>D70</f>
        <v>1952.1773699999999</v>
      </c>
      <c r="E69" s="127">
        <f>E70</f>
        <v>1665.68741</v>
      </c>
      <c r="F69" s="136">
        <f>E69/B69</f>
        <v>0.568416397078897</v>
      </c>
      <c r="G69" s="136">
        <f>E69/C69</f>
        <v>0.853245937381192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225.14579</v>
      </c>
      <c r="K69" s="127">
        <f t="shared" si="17"/>
        <v>160.97418</v>
      </c>
      <c r="L69" s="127">
        <f t="shared" si="17"/>
        <v>93.23003999999999</v>
      </c>
      <c r="M69" s="127">
        <f t="shared" si="17"/>
        <v>170.64538000000002</v>
      </c>
      <c r="N69" s="127">
        <f t="shared" si="17"/>
        <v>225.69409</v>
      </c>
      <c r="O69" s="127">
        <f t="shared" si="17"/>
        <v>211.07138</v>
      </c>
      <c r="P69" s="127">
        <f t="shared" si="17"/>
        <v>309.08152</v>
      </c>
      <c r="Q69" s="127">
        <f t="shared" si="17"/>
        <v>172.78172</v>
      </c>
      <c r="R69" s="127">
        <f t="shared" si="17"/>
        <v>269.91158</v>
      </c>
      <c r="S69" s="127">
        <f t="shared" si="17"/>
        <v>291.47384000000005</v>
      </c>
      <c r="T69" s="127">
        <f t="shared" si="17"/>
        <v>372.85835</v>
      </c>
      <c r="U69" s="127">
        <f t="shared" si="17"/>
        <v>344.77806</v>
      </c>
      <c r="V69" s="127">
        <f t="shared" si="17"/>
        <v>220.28274</v>
      </c>
      <c r="W69" s="127">
        <f t="shared" si="17"/>
        <v>0</v>
      </c>
      <c r="X69" s="127">
        <f t="shared" si="17"/>
        <v>83.13904</v>
      </c>
      <c r="Y69" s="127">
        <f t="shared" si="17"/>
        <v>0</v>
      </c>
      <c r="Z69" s="127">
        <f t="shared" si="17"/>
        <v>286.03415</v>
      </c>
      <c r="AA69" s="127">
        <f t="shared" si="17"/>
        <v>0</v>
      </c>
      <c r="AB69" s="127">
        <f t="shared" si="17"/>
        <v>75.51438</v>
      </c>
      <c r="AC69" s="127">
        <f t="shared" si="17"/>
        <v>0</v>
      </c>
      <c r="AD69" s="127">
        <f t="shared" si="17"/>
        <v>313.25232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2930.4</v>
      </c>
      <c r="C70" s="150">
        <f>H70+J70+L70+N70+P70+R70+T70</f>
        <v>1952.1773699999999</v>
      </c>
      <c r="D70" s="150">
        <f>C70</f>
        <v>1952.1773699999999</v>
      </c>
      <c r="E70" s="150">
        <f>I70+K70+M70+O70+Q70+S70+U70+W70+Y70+AA70+AC70+AE70</f>
        <v>1665.68741</v>
      </c>
      <c r="F70" s="151">
        <f>E70/B70</f>
        <v>0.568416397078897</v>
      </c>
      <c r="G70" s="151">
        <f>E70/C70</f>
        <v>0.853245937381192</v>
      </c>
      <c r="H70" s="150">
        <f>456256/1000</f>
        <v>456.256</v>
      </c>
      <c r="I70" s="150">
        <f>313962.85/1000</f>
        <v>313.96285</v>
      </c>
      <c r="J70" s="150">
        <f>225145.79/1000</f>
        <v>225.14579</v>
      </c>
      <c r="K70" s="150">
        <f>160974.18/1000</f>
        <v>160.97418</v>
      </c>
      <c r="L70" s="150">
        <f>93230.04/1000</f>
        <v>93.23003999999999</v>
      </c>
      <c r="M70" s="150">
        <f>170645.38/1000</f>
        <v>170.64538000000002</v>
      </c>
      <c r="N70" s="150">
        <f>225694.09/1000</f>
        <v>225.69409</v>
      </c>
      <c r="O70" s="150">
        <f>211071.38/1000</f>
        <v>211.07138</v>
      </c>
      <c r="P70" s="150">
        <f>309081.52/1000</f>
        <v>309.08152</v>
      </c>
      <c r="Q70" s="150">
        <f>172781.72/1000</f>
        <v>172.78172</v>
      </c>
      <c r="R70" s="150">
        <f>269911.58/1000</f>
        <v>269.91158</v>
      </c>
      <c r="S70" s="150">
        <f>291473.84/1000</f>
        <v>291.47384000000005</v>
      </c>
      <c r="T70" s="150">
        <f>372858.35/1000</f>
        <v>372.85835</v>
      </c>
      <c r="U70" s="150">
        <f>344778.06/1000</f>
        <v>344.77806</v>
      </c>
      <c r="V70" s="150">
        <f>220282.74/1000</f>
        <v>220.28274</v>
      </c>
      <c r="W70" s="150">
        <v>0</v>
      </c>
      <c r="X70" s="150">
        <f>83139.04/1000</f>
        <v>83.13904</v>
      </c>
      <c r="Y70" s="150">
        <v>0</v>
      </c>
      <c r="Z70" s="150">
        <f>286034.15/1000</f>
        <v>286.03415</v>
      </c>
      <c r="AA70" s="150">
        <v>0</v>
      </c>
      <c r="AB70" s="150">
        <f>75514.38/1000</f>
        <v>75.51438</v>
      </c>
      <c r="AC70" s="150">
        <v>0</v>
      </c>
      <c r="AD70" s="150">
        <f>313252.32/1000</f>
        <v>313.25232</v>
      </c>
      <c r="AE70" s="150">
        <v>0</v>
      </c>
      <c r="AF70" s="162"/>
      <c r="AH70" s="153"/>
    </row>
    <row r="71" spans="1:34" s="18" customFormat="1" ht="56.25">
      <c r="A71" s="5" t="s">
        <v>162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163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164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20696.17</v>
      </c>
      <c r="C79" s="127">
        <f>C81+C82+C80</f>
        <v>12661.197919999999</v>
      </c>
      <c r="D79" s="127">
        <f>D81+D82+D80</f>
        <v>12522.86668</v>
      </c>
      <c r="E79" s="127">
        <f>E81+E82+E80</f>
        <v>11433.940059999999</v>
      </c>
      <c r="F79" s="142">
        <f>E79/B79</f>
        <v>0.5524664737485245</v>
      </c>
      <c r="G79" s="142">
        <f>E79/C79</f>
        <v>0.9030693724437096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900.60994</v>
      </c>
      <c r="K79" s="127">
        <f t="shared" si="20"/>
        <v>606.95418</v>
      </c>
      <c r="L79" s="127">
        <f t="shared" si="20"/>
        <v>985.2391399999999</v>
      </c>
      <c r="M79" s="127">
        <f t="shared" si="20"/>
        <v>1019.8553800000001</v>
      </c>
      <c r="N79" s="127">
        <f t="shared" si="20"/>
        <v>1356.0076999999999</v>
      </c>
      <c r="O79" s="127">
        <f t="shared" si="20"/>
        <v>1260.24138</v>
      </c>
      <c r="P79" s="127">
        <f t="shared" si="20"/>
        <v>1838.72923</v>
      </c>
      <c r="Q79" s="127">
        <f t="shared" si="20"/>
        <v>1279.6717199999998</v>
      </c>
      <c r="R79" s="127">
        <f t="shared" si="20"/>
        <v>3586.864380000001</v>
      </c>
      <c r="S79" s="127">
        <f t="shared" si="20"/>
        <v>3232.7138400000003</v>
      </c>
      <c r="T79" s="127">
        <f t="shared" si="20"/>
        <v>3471.70193</v>
      </c>
      <c r="U79" s="127">
        <f t="shared" si="20"/>
        <v>3720.5407100000007</v>
      </c>
      <c r="V79" s="127">
        <f t="shared" si="20"/>
        <v>3293.79522</v>
      </c>
      <c r="W79" s="127">
        <f t="shared" si="20"/>
        <v>0</v>
      </c>
      <c r="X79" s="127">
        <f t="shared" si="20"/>
        <v>877.5150600000001</v>
      </c>
      <c r="Y79" s="127">
        <f t="shared" si="20"/>
        <v>0</v>
      </c>
      <c r="Z79" s="127">
        <f t="shared" si="20"/>
        <v>1306.16281</v>
      </c>
      <c r="AA79" s="127">
        <f t="shared" si="20"/>
        <v>0</v>
      </c>
      <c r="AB79" s="127">
        <f t="shared" si="20"/>
        <v>1004.9466699999999</v>
      </c>
      <c r="AC79" s="127">
        <f t="shared" si="20"/>
        <v>0</v>
      </c>
      <c r="AD79" s="127">
        <f t="shared" si="20"/>
        <v>1552.55232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4345.7</v>
      </c>
      <c r="C80" s="144">
        <f>C15+C19+C23+C55+C70</f>
        <v>2585.13637</v>
      </c>
      <c r="D80" s="144">
        <f>D15+D19+D23+D55+D70</f>
        <v>2446.8051299999997</v>
      </c>
      <c r="E80" s="144">
        <f>E15+E19+E23+E55+E70</f>
        <v>2055.33741</v>
      </c>
      <c r="F80" s="145">
        <f>E80/B80</f>
        <v>0.47295888119290336</v>
      </c>
      <c r="G80" s="145">
        <f>E80/C80</f>
        <v>0.7950595697201073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261.48634</v>
      </c>
      <c r="K80" s="144">
        <f t="shared" si="21"/>
        <v>170.19418</v>
      </c>
      <c r="L80" s="144">
        <f t="shared" si="21"/>
        <v>166.27614999999997</v>
      </c>
      <c r="M80" s="144">
        <f t="shared" si="21"/>
        <v>222.45538000000002</v>
      </c>
      <c r="N80" s="144">
        <f t="shared" si="21"/>
        <v>288.03675999999996</v>
      </c>
      <c r="O80" s="144">
        <f t="shared" si="21"/>
        <v>298.70138</v>
      </c>
      <c r="P80" s="144">
        <f t="shared" si="21"/>
        <v>371.48819000000003</v>
      </c>
      <c r="Q80" s="144">
        <f t="shared" si="21"/>
        <v>177.75172</v>
      </c>
      <c r="R80" s="144">
        <f t="shared" si="21"/>
        <v>577.11558</v>
      </c>
      <c r="S80" s="144">
        <f t="shared" si="21"/>
        <v>527.4938400000001</v>
      </c>
      <c r="T80" s="144">
        <f t="shared" si="21"/>
        <v>464.47735</v>
      </c>
      <c r="U80" s="144">
        <f t="shared" si="21"/>
        <v>344.77806</v>
      </c>
      <c r="V80" s="144">
        <f t="shared" si="21"/>
        <v>795.09174</v>
      </c>
      <c r="W80" s="144">
        <f t="shared" si="21"/>
        <v>0</v>
      </c>
      <c r="X80" s="144">
        <f t="shared" si="21"/>
        <v>141.68304</v>
      </c>
      <c r="Y80" s="144">
        <f t="shared" si="21"/>
        <v>0</v>
      </c>
      <c r="Z80" s="144">
        <f t="shared" si="21"/>
        <v>346.62189</v>
      </c>
      <c r="AA80" s="144">
        <f t="shared" si="21"/>
        <v>0</v>
      </c>
      <c r="AB80" s="144">
        <f t="shared" si="21"/>
        <v>163.91464</v>
      </c>
      <c r="AC80" s="144">
        <f t="shared" si="21"/>
        <v>0</v>
      </c>
      <c r="AD80" s="144">
        <f t="shared" si="21"/>
        <v>313.25232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155</v>
      </c>
      <c r="B81" s="144">
        <f>B50</f>
        <v>218.07</v>
      </c>
      <c r="C81" s="144">
        <f>C50</f>
        <v>218.07</v>
      </c>
      <c r="D81" s="144">
        <f>D50</f>
        <v>218.07</v>
      </c>
      <c r="E81" s="144">
        <f>E50</f>
        <v>218.07</v>
      </c>
      <c r="F81" s="145">
        <f>E81/B81</f>
        <v>1</v>
      </c>
      <c r="G81" s="145">
        <f>E81/C81</f>
        <v>1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218.07</v>
      </c>
      <c r="S81" s="144">
        <f t="shared" si="22"/>
        <v>0</v>
      </c>
      <c r="T81" s="144">
        <f t="shared" si="22"/>
        <v>0</v>
      </c>
      <c r="U81" s="144">
        <f t="shared" si="22"/>
        <v>218.07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16132.4</v>
      </c>
      <c r="C82" s="144">
        <f>C16+C20+C24+C27+C30+C33+C44+C64+C36+C61+C67+C75+C78</f>
        <v>9857.991549999999</v>
      </c>
      <c r="D82" s="144">
        <f>D16+D20+D24+D27+D30+D33+D44+D64+D36+D61+D67+D75+D78</f>
        <v>9857.991549999999</v>
      </c>
      <c r="E82" s="144">
        <f>E16+E20+E24+E27+E30+E33+E44+E64+E36+E61+E67+E75+E78</f>
        <v>9160.53265</v>
      </c>
      <c r="F82" s="145">
        <f>E82/B82</f>
        <v>0.5678344604646549</v>
      </c>
      <c r="G82" s="145">
        <f>E82/C82</f>
        <v>0.9292493915761167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1067.97094</v>
      </c>
      <c r="O82" s="144">
        <f t="shared" si="23"/>
        <v>961.54</v>
      </c>
      <c r="P82" s="144">
        <f t="shared" si="23"/>
        <v>1467.2410399999999</v>
      </c>
      <c r="Q82" s="144">
        <f t="shared" si="23"/>
        <v>1101.9199999999998</v>
      </c>
      <c r="R82" s="144">
        <f t="shared" si="23"/>
        <v>2791.6788000000006</v>
      </c>
      <c r="S82" s="144">
        <f t="shared" si="23"/>
        <v>2705.2200000000003</v>
      </c>
      <c r="T82" s="144">
        <f t="shared" si="23"/>
        <v>3007.22458</v>
      </c>
      <c r="U82" s="144">
        <f t="shared" si="23"/>
        <v>3157.6926500000004</v>
      </c>
      <c r="V82" s="144">
        <f t="shared" si="23"/>
        <v>2498.70348</v>
      </c>
      <c r="W82" s="144">
        <f t="shared" si="23"/>
        <v>0</v>
      </c>
      <c r="X82" s="144">
        <f t="shared" si="23"/>
        <v>735.83202</v>
      </c>
      <c r="Y82" s="144">
        <f t="shared" si="23"/>
        <v>0</v>
      </c>
      <c r="Z82" s="144">
        <f t="shared" si="23"/>
        <v>959.54092</v>
      </c>
      <c r="AA82" s="144">
        <f t="shared" si="23"/>
        <v>0</v>
      </c>
      <c r="AB82" s="144">
        <f t="shared" si="23"/>
        <v>841.03203</v>
      </c>
      <c r="AC82" s="144">
        <f t="shared" si="23"/>
        <v>0</v>
      </c>
      <c r="AD82" s="144">
        <f t="shared" si="23"/>
        <v>1239.3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170</v>
      </c>
      <c r="AA85" s="66"/>
      <c r="AB85" s="66"/>
      <c r="AD85" s="53" t="s">
        <v>171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172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AF17:AF20"/>
    <mergeCell ref="L5:M5"/>
    <mergeCell ref="N5:O5"/>
    <mergeCell ref="P5:Q5"/>
    <mergeCell ref="R5:S5"/>
    <mergeCell ref="V5:W5"/>
    <mergeCell ref="X5:Y5"/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0" r:id="rId3"/>
  <rowBreaks count="2" manualBreakCount="2">
    <brk id="41" max="31" man="1"/>
    <brk id="89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5" t="s">
        <v>40</v>
      </c>
      <c r="C6" s="165"/>
      <c r="D6" s="165"/>
      <c r="E6" s="165"/>
      <c r="F6" s="165"/>
      <c r="G6" s="165"/>
      <c r="H6" s="165"/>
      <c r="I6" s="165"/>
      <c r="J6" s="165"/>
    </row>
    <row r="7" s="25" customFormat="1" ht="12.75"/>
    <row r="8" spans="2:10" s="25" customFormat="1" ht="12.75">
      <c r="B8" s="184" t="s">
        <v>41</v>
      </c>
      <c r="C8" s="184" t="s">
        <v>5</v>
      </c>
      <c r="D8" s="184" t="s">
        <v>42</v>
      </c>
      <c r="E8" s="184" t="s">
        <v>43</v>
      </c>
      <c r="F8" s="184" t="s">
        <v>44</v>
      </c>
      <c r="G8" s="184"/>
      <c r="H8" s="184"/>
      <c r="I8" s="184"/>
      <c r="J8" s="184" t="s">
        <v>45</v>
      </c>
    </row>
    <row r="9" spans="2:10" s="25" customFormat="1" ht="12.75">
      <c r="B9" s="184"/>
      <c r="C9" s="184"/>
      <c r="D9" s="184"/>
      <c r="E9" s="184"/>
      <c r="F9" s="184" t="s">
        <v>46</v>
      </c>
      <c r="G9" s="184" t="s">
        <v>47</v>
      </c>
      <c r="H9" s="184"/>
      <c r="I9" s="184"/>
      <c r="J9" s="184"/>
    </row>
    <row r="10" spans="2:10" s="25" customFormat="1" ht="15.75" customHeight="1">
      <c r="B10" s="184"/>
      <c r="C10" s="184"/>
      <c r="D10" s="184"/>
      <c r="E10" s="184"/>
      <c r="F10" s="184"/>
      <c r="G10" s="33" t="s">
        <v>48</v>
      </c>
      <c r="H10" s="33" t="s">
        <v>49</v>
      </c>
      <c r="I10" s="33" t="s">
        <v>50</v>
      </c>
      <c r="J10" s="184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85" t="s">
        <v>51</v>
      </c>
      <c r="C12" s="185"/>
      <c r="D12" s="185"/>
      <c r="E12" s="185"/>
      <c r="F12" s="185"/>
      <c r="G12" s="185"/>
      <c r="H12" s="185"/>
      <c r="I12" s="185"/>
      <c r="J12" s="185"/>
    </row>
    <row r="13" spans="2:10" s="25" customFormat="1" ht="24.75" customHeight="1">
      <c r="B13" s="185" t="s">
        <v>52</v>
      </c>
      <c r="C13" s="185"/>
      <c r="D13" s="185"/>
      <c r="E13" s="185"/>
      <c r="F13" s="185"/>
      <c r="G13" s="185"/>
      <c r="H13" s="185"/>
      <c r="I13" s="185"/>
      <c r="J13" s="185"/>
    </row>
    <row r="14" spans="2:10" s="25" customFormat="1" ht="25.5" customHeight="1">
      <c r="B14" s="186" t="s">
        <v>53</v>
      </c>
      <c r="C14" s="187"/>
      <c r="D14" s="187"/>
      <c r="E14" s="187"/>
      <c r="F14" s="187"/>
      <c r="G14" s="187"/>
      <c r="H14" s="187"/>
      <c r="I14" s="187"/>
      <c r="J14" s="188"/>
    </row>
    <row r="15" spans="2:13" s="25" customFormat="1" ht="12.75">
      <c r="B15" s="189" t="s">
        <v>54</v>
      </c>
      <c r="C15" s="192" t="s">
        <v>55</v>
      </c>
      <c r="D15" s="195" t="s">
        <v>56</v>
      </c>
      <c r="E15" s="195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190"/>
      <c r="C16" s="193"/>
      <c r="D16" s="196"/>
      <c r="E16" s="196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191"/>
      <c r="C17" s="194"/>
      <c r="D17" s="197"/>
      <c r="E17" s="197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189" t="s">
        <v>62</v>
      </c>
      <c r="C19" s="192" t="s">
        <v>63</v>
      </c>
      <c r="D19" s="195" t="s">
        <v>56</v>
      </c>
      <c r="E19" s="195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190"/>
      <c r="C20" s="193"/>
      <c r="D20" s="196"/>
      <c r="E20" s="196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191"/>
      <c r="C21" s="194"/>
      <c r="D21" s="197"/>
      <c r="E21" s="197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84" t="s">
        <v>73</v>
      </c>
      <c r="G25" s="184"/>
      <c r="H25" s="184"/>
      <c r="I25" s="184"/>
      <c r="J25" s="184"/>
      <c r="M25" s="36"/>
    </row>
    <row r="26" spans="2:13" s="25" customFormat="1" ht="18.75" customHeight="1">
      <c r="B26" s="195"/>
      <c r="C26" s="192" t="s">
        <v>74</v>
      </c>
      <c r="D26" s="195" t="s">
        <v>56</v>
      </c>
      <c r="E26" s="195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6"/>
      <c r="C27" s="193"/>
      <c r="D27" s="196"/>
      <c r="E27" s="196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7"/>
      <c r="C28" s="194"/>
      <c r="D28" s="197"/>
      <c r="E28" s="197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85" t="s">
        <v>75</v>
      </c>
      <c r="C29" s="185"/>
      <c r="D29" s="185"/>
      <c r="E29" s="185"/>
      <c r="F29" s="185"/>
      <c r="G29" s="185"/>
      <c r="H29" s="185"/>
      <c r="I29" s="185"/>
      <c r="J29" s="185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198"/>
      <c r="C32" s="192" t="s">
        <v>80</v>
      </c>
      <c r="D32" s="201"/>
      <c r="E32" s="195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199"/>
      <c r="C33" s="193"/>
      <c r="D33" s="202"/>
      <c r="E33" s="196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0"/>
      <c r="C34" s="194"/>
      <c r="D34" s="203"/>
      <c r="E34" s="197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86" t="s">
        <v>81</v>
      </c>
      <c r="C35" s="187"/>
      <c r="D35" s="187"/>
      <c r="E35" s="187"/>
      <c r="F35" s="187"/>
      <c r="G35" s="187"/>
      <c r="H35" s="187"/>
      <c r="I35" s="187"/>
      <c r="J35" s="188"/>
      <c r="M35" s="36"/>
    </row>
    <row r="36" spans="2:13" ht="27" customHeight="1">
      <c r="B36" s="186" t="s">
        <v>82</v>
      </c>
      <c r="C36" s="187"/>
      <c r="D36" s="187"/>
      <c r="E36" s="187"/>
      <c r="F36" s="187"/>
      <c r="G36" s="187"/>
      <c r="H36" s="187"/>
      <c r="I36" s="187"/>
      <c r="J36" s="188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86" t="s">
        <v>88</v>
      </c>
      <c r="C40" s="187"/>
      <c r="D40" s="187"/>
      <c r="E40" s="187"/>
      <c r="F40" s="187"/>
      <c r="G40" s="187"/>
      <c r="H40" s="187"/>
      <c r="I40" s="187"/>
      <c r="J40" s="188"/>
      <c r="M40" s="36"/>
    </row>
    <row r="41" spans="2:13" ht="26.25" customHeight="1">
      <c r="B41" s="186" t="s">
        <v>89</v>
      </c>
      <c r="C41" s="187"/>
      <c r="D41" s="187"/>
      <c r="E41" s="187"/>
      <c r="F41" s="187"/>
      <c r="G41" s="187"/>
      <c r="H41" s="187"/>
      <c r="I41" s="187"/>
      <c r="J41" s="188"/>
      <c r="M41" s="36"/>
    </row>
    <row r="42" spans="2:13" ht="27.75" customHeight="1">
      <c r="B42" s="185" t="s">
        <v>90</v>
      </c>
      <c r="C42" s="185"/>
      <c r="D42" s="185"/>
      <c r="E42" s="185"/>
      <c r="F42" s="185"/>
      <c r="G42" s="185"/>
      <c r="H42" s="185"/>
      <c r="I42" s="185"/>
      <c r="J42" s="185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84" t="s">
        <v>73</v>
      </c>
      <c r="G43" s="184"/>
      <c r="H43" s="184"/>
      <c r="I43" s="184"/>
      <c r="J43" s="184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84"/>
      <c r="C47" s="192" t="s">
        <v>102</v>
      </c>
      <c r="D47" s="184" t="s">
        <v>93</v>
      </c>
      <c r="E47" s="184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84"/>
      <c r="C48" s="193"/>
      <c r="D48" s="184"/>
      <c r="E48" s="184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84"/>
      <c r="C49" s="194"/>
      <c r="D49" s="184"/>
      <c r="E49" s="184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85" t="s">
        <v>103</v>
      </c>
      <c r="C50" s="185"/>
      <c r="D50" s="185"/>
      <c r="E50" s="185"/>
      <c r="F50" s="185"/>
      <c r="G50" s="185"/>
      <c r="H50" s="185"/>
      <c r="I50" s="185"/>
      <c r="J50" s="185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84" t="s">
        <v>73</v>
      </c>
      <c r="G51" s="184"/>
      <c r="H51" s="184"/>
      <c r="I51" s="184"/>
      <c r="J51" s="184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84" t="s">
        <v>73</v>
      </c>
      <c r="G52" s="184"/>
      <c r="H52" s="184"/>
      <c r="I52" s="184"/>
      <c r="J52" s="184"/>
      <c r="M52" s="36"/>
    </row>
    <row r="53" spans="2:13" ht="15.75" customHeight="1">
      <c r="B53" s="204"/>
      <c r="C53" s="185" t="s">
        <v>108</v>
      </c>
      <c r="D53" s="184" t="s">
        <v>93</v>
      </c>
      <c r="E53" s="184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04"/>
      <c r="C54" s="185"/>
      <c r="D54" s="184"/>
      <c r="E54" s="184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04"/>
      <c r="C55" s="185"/>
      <c r="D55" s="184"/>
      <c r="E55" s="184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05"/>
      <c r="C56" s="185" t="s">
        <v>109</v>
      </c>
      <c r="D56" s="204"/>
      <c r="E56" s="184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05"/>
      <c r="C57" s="185"/>
      <c r="D57" s="204"/>
      <c r="E57" s="184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05"/>
      <c r="C58" s="185"/>
      <c r="D58" s="204"/>
      <c r="E58" s="184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04"/>
      <c r="C60" s="185" t="s">
        <v>111</v>
      </c>
      <c r="D60" s="204"/>
      <c r="E60" s="184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04"/>
      <c r="C61" s="185"/>
      <c r="D61" s="204"/>
      <c r="E61" s="184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04"/>
      <c r="C62" s="185"/>
      <c r="D62" s="204"/>
      <c r="E62" s="184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1"/>
      <c r="C63" s="192" t="s">
        <v>112</v>
      </c>
      <c r="D63" s="201"/>
      <c r="E63" s="195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2"/>
      <c r="C64" s="193"/>
      <c r="D64" s="202"/>
      <c r="E64" s="196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3"/>
      <c r="C65" s="194"/>
      <c r="D65" s="203"/>
      <c r="E65" s="197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9"/>
      <c r="G1" s="179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9" t="s">
        <v>27</v>
      </c>
      <c r="O2" s="179"/>
      <c r="P2" s="179"/>
      <c r="Q2" s="179"/>
      <c r="R2" s="179"/>
    </row>
    <row r="3" spans="1:31" ht="26.25" customHeight="1">
      <c r="A3" s="23"/>
      <c r="N3" s="180" t="s">
        <v>35</v>
      </c>
      <c r="O3" s="180"/>
      <c r="P3" s="180"/>
      <c r="Q3" s="180"/>
      <c r="R3" s="180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8" t="s">
        <v>5</v>
      </c>
      <c r="B5" s="181" t="s">
        <v>23</v>
      </c>
      <c r="C5" s="181" t="s">
        <v>19</v>
      </c>
      <c r="D5" s="181" t="s">
        <v>20</v>
      </c>
      <c r="E5" s="177" t="s">
        <v>15</v>
      </c>
      <c r="F5" s="177"/>
      <c r="G5" s="177" t="s">
        <v>0</v>
      </c>
      <c r="H5" s="177"/>
      <c r="I5" s="177" t="s">
        <v>1</v>
      </c>
      <c r="J5" s="177"/>
      <c r="K5" s="177" t="s">
        <v>2</v>
      </c>
      <c r="L5" s="177"/>
      <c r="M5" s="177" t="s">
        <v>3</v>
      </c>
      <c r="N5" s="177"/>
      <c r="O5" s="177" t="s">
        <v>4</v>
      </c>
      <c r="P5" s="177"/>
      <c r="Q5" s="177" t="s">
        <v>6</v>
      </c>
      <c r="R5" s="177"/>
      <c r="S5" s="177" t="s">
        <v>7</v>
      </c>
      <c r="T5" s="177"/>
      <c r="U5" s="177" t="s">
        <v>8</v>
      </c>
      <c r="V5" s="177"/>
      <c r="W5" s="177" t="s">
        <v>9</v>
      </c>
      <c r="X5" s="177"/>
      <c r="Y5" s="177" t="s">
        <v>10</v>
      </c>
      <c r="Z5" s="177"/>
      <c r="AA5" s="177" t="s">
        <v>11</v>
      </c>
      <c r="AB5" s="177"/>
      <c r="AC5" s="177" t="s">
        <v>12</v>
      </c>
      <c r="AD5" s="177"/>
      <c r="AE5" s="178" t="s">
        <v>21</v>
      </c>
      <c r="AG5" s="76"/>
      <c r="AH5" s="76"/>
    </row>
    <row r="6" spans="1:34" s="13" customFormat="1" ht="84" customHeight="1">
      <c r="A6" s="178"/>
      <c r="B6" s="182"/>
      <c r="C6" s="182"/>
      <c r="D6" s="182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8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9"/>
      <c r="G1" s="179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9" t="s">
        <v>27</v>
      </c>
      <c r="O2" s="179"/>
      <c r="P2" s="179"/>
      <c r="Q2" s="179"/>
      <c r="R2" s="179"/>
    </row>
    <row r="3" spans="1:31" ht="26.25" customHeight="1">
      <c r="A3" s="23"/>
      <c r="N3" s="180" t="s">
        <v>35</v>
      </c>
      <c r="O3" s="180"/>
      <c r="P3" s="180"/>
      <c r="Q3" s="180"/>
      <c r="R3" s="180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8" t="s">
        <v>5</v>
      </c>
      <c r="B5" s="181" t="s">
        <v>23</v>
      </c>
      <c r="C5" s="181" t="s">
        <v>19</v>
      </c>
      <c r="D5" s="181" t="s">
        <v>20</v>
      </c>
      <c r="E5" s="177" t="s">
        <v>15</v>
      </c>
      <c r="F5" s="177"/>
      <c r="G5" s="177" t="s">
        <v>0</v>
      </c>
      <c r="H5" s="177"/>
      <c r="I5" s="177" t="s">
        <v>1</v>
      </c>
      <c r="J5" s="177"/>
      <c r="K5" s="177" t="s">
        <v>2</v>
      </c>
      <c r="L5" s="177"/>
      <c r="M5" s="177" t="s">
        <v>3</v>
      </c>
      <c r="N5" s="177"/>
      <c r="O5" s="177" t="s">
        <v>4</v>
      </c>
      <c r="P5" s="177"/>
      <c r="Q5" s="177" t="s">
        <v>6</v>
      </c>
      <c r="R5" s="177"/>
      <c r="S5" s="177" t="s">
        <v>7</v>
      </c>
      <c r="T5" s="177"/>
      <c r="U5" s="177" t="s">
        <v>8</v>
      </c>
      <c r="V5" s="177"/>
      <c r="W5" s="177" t="s">
        <v>9</v>
      </c>
      <c r="X5" s="177"/>
      <c r="Y5" s="177" t="s">
        <v>10</v>
      </c>
      <c r="Z5" s="177"/>
      <c r="AA5" s="177" t="s">
        <v>11</v>
      </c>
      <c r="AB5" s="177"/>
      <c r="AC5" s="177" t="s">
        <v>12</v>
      </c>
      <c r="AD5" s="177"/>
      <c r="AE5" s="178" t="s">
        <v>21</v>
      </c>
    </row>
    <row r="6" spans="1:31" s="13" customFormat="1" ht="84" customHeight="1">
      <c r="A6" s="178"/>
      <c r="B6" s="182"/>
      <c r="C6" s="182"/>
      <c r="D6" s="182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8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2015-08-04T10:41:23Z</cp:lastPrinted>
  <dcterms:created xsi:type="dcterms:W3CDTF">1996-10-08T23:32:33Z</dcterms:created>
  <dcterms:modified xsi:type="dcterms:W3CDTF">2015-08-04T10:50:38Z</dcterms:modified>
  <cp:category/>
  <cp:version/>
  <cp:contentType/>
  <cp:contentStatus/>
</cp:coreProperties>
</file>